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4400" windowHeight="11640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sharedStrings.xml><?xml version="1.0" encoding="utf-8"?>
<sst xmlns="http://schemas.openxmlformats.org/spreadsheetml/2006/main" count="90" uniqueCount="83">
  <si>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</si>
  <si>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</si>
  <si>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</si>
  <si>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</si>
  <si>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</si>
  <si>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</si>
  <si>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</si>
  <si>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</si>
  <si>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</si>
  <si>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</si>
  <si>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</si>
  <si>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</si>
  <si>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</si>
  <si>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</si>
  <si>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</si>
  <si>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</si>
  <si>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</si>
  <si>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</si>
  <si>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</si>
  <si>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</si>
  <si>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</si>
  <si>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</si>
  <si>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</si>
  <si>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</si>
  <si>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</si>
  <si>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</si>
  <si>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</si>
  <si>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</si>
  <si>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</si>
  <si>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</si>
  <si>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</si>
  <si>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</si>
  <si>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</si>
  <si>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</si>
  <si>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</si>
  <si>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</si>
  <si>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</si>
  <si>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</si>
  <si>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</si>
  <si>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</si>
  <si>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</si>
  <si>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</si>
  <si>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</si>
  <si>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</si>
  <si>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</si>
  <si>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</si>
  <si>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</si>
  <si>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</si>
  <si>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</si>
  <si>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</si>
  <si>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</si>
  <si>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</si>
  <si>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</si>
  <si>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</si>
  <si>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</si>
  <si>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</si>
  <si>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</si>
  <si>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</si>
  <si>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</si>
  <si>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</si>
  <si>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</si>
  <si>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</si>
  <si>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</si>
  <si>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</si>
  <si>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</si>
  <si>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</si>
  <si>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</si>
  <si>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</si>
  <si>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</si>
  <si>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</si>
  <si>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</si>
  <si>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</si>
  <si>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</si>
  <si>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28/09</t>
  </si>
  <si>
    <t>Boiling of Water Loss%</t>
  </si>
  <si>
    <t>\</t>
  </si>
  <si>
    <t>TL-001</t>
  </si>
  <si>
    <t>25/09/09</t>
  </si>
  <si>
    <t>TL</t>
  </si>
  <si>
    <t>overcast, windy</t>
  </si>
  <si>
    <t>Beech,Mp</t>
  </si>
  <si>
    <t>side kindling, left</t>
  </si>
  <si>
    <t>larger at the bottom front to back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</si>
</sst>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3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1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20" fontId="2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8" xfId="0" applyFont="1" applyBorder="1" applyAlignment="1">
      <alignment horizontal="left"/>
    </xf>
    <xf numFmtId="0" fontId="2" fillId="34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1" fontId="2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64" fontId="2" fillId="35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5" fontId="7" fillId="35" borderId="12" xfId="0" applyNumberFormat="1" applyFont="1" applyFill="1" applyBorder="1" applyAlignment="1">
      <alignment horizontal="left"/>
    </xf>
    <xf numFmtId="165" fontId="2" fillId="35" borderId="13" xfId="0" applyNumberFormat="1" applyFont="1" applyFill="1" applyBorder="1" applyAlignment="1">
      <alignment horizontal="center"/>
    </xf>
    <xf numFmtId="165" fontId="2" fillId="35" borderId="20" xfId="0" applyNumberFormat="1" applyFont="1" applyFill="1" applyBorder="1" applyAlignment="1">
      <alignment horizontal="center"/>
    </xf>
    <xf numFmtId="165" fontId="7" fillId="35" borderId="14" xfId="0" applyNumberFormat="1" applyFont="1" applyFill="1" applyBorder="1" applyAlignment="1">
      <alignment horizontal="left"/>
    </xf>
    <xf numFmtId="165" fontId="2" fillId="35" borderId="15" xfId="0" applyNumberFormat="1" applyFont="1" applyFill="1" applyBorder="1" applyAlignment="1">
      <alignment horizontal="center"/>
    </xf>
    <xf numFmtId="165" fontId="2" fillId="35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left"/>
    </xf>
    <xf numFmtId="165" fontId="2" fillId="35" borderId="0" xfId="0" applyNumberFormat="1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/>
    </xf>
    <xf numFmtId="165" fontId="2" fillId="35" borderId="17" xfId="0" applyNumberFormat="1" applyFont="1" applyFill="1" applyBorder="1" applyAlignment="1">
      <alignment horizontal="left"/>
    </xf>
    <xf numFmtId="165" fontId="2" fillId="35" borderId="22" xfId="0" applyNumberFormat="1" applyFont="1" applyFill="1" applyBorder="1" applyAlignment="1">
      <alignment horizontal="left"/>
    </xf>
    <xf numFmtId="165" fontId="2" fillId="35" borderId="14" xfId="0" applyNumberFormat="1" applyFont="1" applyFill="1" applyBorder="1" applyAlignment="1">
      <alignment horizontal="left"/>
    </xf>
    <xf numFmtId="165" fontId="2" fillId="35" borderId="15" xfId="0" applyNumberFormat="1" applyFont="1" applyFill="1" applyBorder="1" applyAlignment="1">
      <alignment horizontal="left"/>
    </xf>
    <xf numFmtId="165" fontId="2" fillId="35" borderId="2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36" borderId="2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2" fontId="4" fillId="38" borderId="20" xfId="0" applyNumberFormat="1" applyFont="1" applyFill="1" applyBorder="1" applyAlignment="1">
      <alignment horizontal="center"/>
    </xf>
    <xf numFmtId="0" fontId="4" fillId="38" borderId="1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2" fontId="4" fillId="38" borderId="22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2" fontId="4" fillId="38" borderId="21" xfId="0" applyNumberFormat="1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left"/>
    </xf>
    <xf numFmtId="0" fontId="2" fillId="34" borderId="0" xfId="0" applyFont="1" applyFill="1" applyBorder="1" applyAlignment="1">
      <alignment/>
    </xf>
    <xf numFmtId="165" fontId="2" fillId="0" borderId="15" xfId="0" applyNumberFormat="1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6" borderId="20" xfId="0" applyFill="1" applyBorder="1" applyAlignment="1">
      <alignment/>
    </xf>
    <xf numFmtId="1" fontId="2" fillId="36" borderId="2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2" fillId="34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0" borderId="0" xfId="59">
      <alignment/>
      <protection/>
    </xf>
    <xf numFmtId="1" fontId="2" fillId="0" borderId="0" xfId="58" applyFont="1">
      <alignment/>
      <protection/>
    </xf>
    <xf numFmtId="1" fontId="2" fillId="0" borderId="0" xfId="59" applyFont="1">
      <alignment/>
      <protection/>
    </xf>
    <xf numFmtId="1" fontId="2" fillId="0" borderId="19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left"/>
    </xf>
    <xf numFmtId="1" fontId="2" fillId="0" borderId="19" xfId="0" applyNumberFormat="1" applyFont="1" applyBorder="1" applyAlignment="1">
      <alignment horizontal="centerContinuous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9" borderId="0" xfId="0" applyFont="1" applyFill="1" applyBorder="1" applyAlignment="1">
      <alignment/>
    </xf>
    <xf numFmtId="164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center"/>
    </xf>
    <xf numFmtId="1" fontId="2" fillId="39" borderId="0" xfId="0" applyNumberFormat="1" applyFont="1" applyFill="1" applyBorder="1" applyAlignment="1">
      <alignment horizontal="center"/>
    </xf>
    <xf numFmtId="2" fontId="2" fillId="39" borderId="0" xfId="0" applyNumberFormat="1" applyFont="1" applyFill="1" applyBorder="1" applyAlignment="1" applyProtection="1">
      <alignment horizontal="center"/>
      <protection/>
    </xf>
    <xf numFmtId="165" fontId="2" fillId="39" borderId="0" xfId="0" applyNumberFormat="1" applyFont="1" applyFill="1" applyBorder="1" applyAlignment="1">
      <alignment horizontal="left"/>
    </xf>
    <xf numFmtId="165" fontId="2" fillId="39" borderId="0" xfId="0" applyNumberFormat="1" applyFont="1" applyFill="1" applyBorder="1" applyAlignment="1">
      <alignment horizontal="center"/>
    </xf>
    <xf numFmtId="1" fontId="2" fillId="0" borderId="15" xfId="59" applyBorder="1">
      <alignment/>
      <protection/>
    </xf>
    <xf numFmtId="1" fontId="2" fillId="0" borderId="15" xfId="58" applyFont="1" applyBorder="1">
      <alignment/>
      <protection/>
    </xf>
    <xf numFmtId="2" fontId="2" fillId="0" borderId="0" xfId="59" applyNumberFormat="1">
      <alignment/>
      <protection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D11" sqref="D11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1:21" ht="15.75" outlineLevel="1">
      <c r="A2" s="1" t="s">
        <v>73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9.5" outlineLevel="1">
      <c r="A3" s="28" t="s">
        <v>4</v>
      </c>
      <c r="B3" s="26"/>
      <c r="C3" s="88" t="str">
        <f>RunNumber</f>
        <v>TL-001</v>
      </c>
      <c r="D3" s="29"/>
      <c r="E3" s="23" t="s">
        <v>41</v>
      </c>
      <c r="F3" s="67" t="str">
        <f>Q8</f>
        <v>TL</v>
      </c>
      <c r="G3" s="13"/>
      <c r="H3" s="13" t="s">
        <v>5</v>
      </c>
      <c r="I3" s="25"/>
      <c r="J3" s="82" t="str">
        <f>DATE</f>
        <v>25/09/09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17" ht="14.25" outlineLevel="1">
      <c r="A4" s="94" t="s">
        <v>66</v>
      </c>
      <c r="B4" s="94"/>
      <c r="C4" s="95">
        <f>AVERAGE(Moisture)</f>
        <v>14</v>
      </c>
      <c r="D4" s="29"/>
      <c r="E4" s="2" t="s">
        <v>7</v>
      </c>
      <c r="F4" s="2"/>
      <c r="G4" s="6">
        <f>TimeSinceLast</f>
        <v>4</v>
      </c>
      <c r="H4" s="19" t="s">
        <v>8</v>
      </c>
      <c r="I4" s="2"/>
      <c r="J4" s="6">
        <f>AmbientTemperature</f>
        <v>62</v>
      </c>
      <c r="K4"/>
      <c r="L4" s="29"/>
      <c r="M4" s="29"/>
      <c r="N4" s="39" t="s">
        <v>6</v>
      </c>
      <c r="O4" s="40"/>
      <c r="P4" s="40"/>
      <c r="Q4" s="41"/>
    </row>
    <row r="5" spans="1:17" ht="12.75" outlineLevel="1">
      <c r="A5" s="94" t="s">
        <v>65</v>
      </c>
      <c r="B5" s="94"/>
      <c r="C5" s="95">
        <f>SUM(PcWt)+WtKindl-UnburnedFuel</f>
        <v>48.41</v>
      </c>
      <c r="D5" s="29"/>
      <c r="E5" s="2" t="s">
        <v>10</v>
      </c>
      <c r="F5" s="20"/>
      <c r="G5" s="18">
        <f>(StartTime)</f>
        <v>0.642361111111111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17" ht="12.75" outlineLevel="1">
      <c r="A6" s="94" t="s">
        <v>64</v>
      </c>
      <c r="B6" s="94"/>
      <c r="C6" s="96">
        <f>KindlingWeight</f>
        <v>3.4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17" ht="12.75" outlineLevel="1">
      <c r="A7" s="94" t="s">
        <v>48</v>
      </c>
      <c r="B7" s="94"/>
      <c r="C7" s="96">
        <f>COUNT(PcWt)</f>
        <v>8</v>
      </c>
      <c r="D7" s="29"/>
      <c r="E7" s="2" t="s">
        <v>14</v>
      </c>
      <c r="F7" s="2"/>
      <c r="G7" s="6"/>
      <c r="H7" s="1" t="str">
        <f>FuelType</f>
        <v>Beech,Mp</v>
      </c>
      <c r="I7" s="30"/>
      <c r="J7" s="30"/>
      <c r="K7"/>
      <c r="L7" t="s">
        <v>4</v>
      </c>
      <c r="M7"/>
      <c r="N7" s="45" t="s">
        <v>76</v>
      </c>
      <c r="O7" s="35" t="s">
        <v>5</v>
      </c>
      <c r="P7" s="35"/>
      <c r="Q7" s="66" t="s">
        <v>77</v>
      </c>
    </row>
    <row r="8" spans="1:17" ht="12.75" outlineLevel="1">
      <c r="A8" s="94" t="s">
        <v>49</v>
      </c>
      <c r="B8" s="94"/>
      <c r="C8" s="97">
        <f>(AVERAGE(Length)+SUM(Circumf))/(WtFuel-WtKindl)</f>
        <v>0.35825372139524553</v>
      </c>
      <c r="D8" s="29"/>
      <c r="E8" s="2" t="s">
        <v>15</v>
      </c>
      <c r="F8" s="4"/>
      <c r="G8" s="22"/>
      <c r="H8" s="30" t="str">
        <f>O15</f>
        <v>larger at the bottom front to back</v>
      </c>
      <c r="I8" s="30"/>
      <c r="J8" s="30"/>
      <c r="K8"/>
      <c r="L8" t="s">
        <v>7</v>
      </c>
      <c r="M8"/>
      <c r="N8" s="32">
        <v>4</v>
      </c>
      <c r="O8" s="35" t="s">
        <v>40</v>
      </c>
      <c r="P8" s="35"/>
      <c r="Q8" s="45" t="s">
        <v>78</v>
      </c>
    </row>
    <row r="9" spans="1:17" ht="12.75" outlineLevel="1">
      <c r="A9" s="94" t="s">
        <v>63</v>
      </c>
      <c r="B9" s="94"/>
      <c r="C9" s="95">
        <f>AVERAGE(PcWt)</f>
        <v>5.62625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0.642361111111111</v>
      </c>
      <c r="O9" s="35" t="s">
        <v>8</v>
      </c>
      <c r="P9" s="35"/>
      <c r="Q9" s="32">
        <v>62</v>
      </c>
    </row>
    <row r="10" spans="1:17" ht="12.75" outlineLevel="1">
      <c r="A10" s="94" t="s">
        <v>67</v>
      </c>
      <c r="B10" s="94"/>
      <c r="C10" s="97">
        <v>2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79</v>
      </c>
      <c r="Q10" s="45"/>
    </row>
    <row r="11" spans="1:17" ht="12.75" outlineLevel="1">
      <c r="A11" s="94" t="s">
        <v>68</v>
      </c>
      <c r="B11" s="94"/>
      <c r="C11" s="98">
        <f>AVERAGE(StackTemp)</f>
        <v>278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75</v>
      </c>
      <c r="Q11" s="29"/>
    </row>
    <row r="12" spans="1:17" ht="12.75" outlineLevel="1">
      <c r="A12" s="94" t="s">
        <v>50</v>
      </c>
      <c r="B12" s="94"/>
      <c r="C12" s="97">
        <f>G14</f>
        <v>14.45</v>
      </c>
      <c r="D12" s="29"/>
      <c r="E12" s="23" t="s">
        <v>71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17" ht="12.75">
      <c r="A13" s="94" t="s">
        <v>51</v>
      </c>
      <c r="B13" s="94"/>
      <c r="C13" s="97">
        <f>AVERAGE(CO)/10000</f>
        <v>0.1781</v>
      </c>
      <c r="D13" s="29"/>
      <c r="E13" s="81"/>
      <c r="F13" s="83" t="s">
        <v>18</v>
      </c>
      <c r="G13" s="83" t="s">
        <v>19</v>
      </c>
      <c r="H13" s="83" t="s">
        <v>72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17" ht="12.75">
      <c r="A14" s="94" t="s">
        <v>70</v>
      </c>
      <c r="B14" s="94"/>
      <c r="C14" s="97">
        <f>SQRT(528/(460+AvStackTemp))</f>
        <v>0.8458410929196717</v>
      </c>
      <c r="D14" s="68"/>
      <c r="E14" s="84"/>
      <c r="F14" s="85">
        <v>278</v>
      </c>
      <c r="G14" s="104">
        <v>14.45</v>
      </c>
      <c r="H14" s="104">
        <v>1781</v>
      </c>
      <c r="I14" s="104"/>
      <c r="J14" s="74"/>
      <c r="L14" s="1" t="s">
        <v>20</v>
      </c>
      <c r="N14" s="54" t="s">
        <v>80</v>
      </c>
      <c r="O14" s="89" t="s">
        <v>81</v>
      </c>
      <c r="P14" s="44"/>
      <c r="Q14" s="48"/>
    </row>
    <row r="15" spans="1:17" ht="12.75">
      <c r="A15" s="94" t="s">
        <v>52</v>
      </c>
      <c r="B15" s="94"/>
      <c r="C15" s="99">
        <f>20.9/(20.9-_AvO2)</f>
        <v>3.24031007751938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82</v>
      </c>
      <c r="P15" s="44"/>
      <c r="Q15" s="48"/>
    </row>
    <row r="16" spans="1:17" ht="12.75">
      <c r="A16" s="94" t="s">
        <v>53</v>
      </c>
      <c r="B16" s="94"/>
      <c r="C16" s="97">
        <f>((WtFuel-(UnburnedFuel*(1+AvMoisture/100)))/RunLength)*(1-(AvMoisture/100))/2.2</f>
        <v>9.461954545454544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3.4</v>
      </c>
      <c r="O16" s="47"/>
      <c r="P16" s="44"/>
      <c r="Q16" s="48"/>
    </row>
    <row r="17" spans="1:17" ht="12.75">
      <c r="A17" s="94" t="s">
        <v>74</v>
      </c>
      <c r="B17" s="94"/>
      <c r="C17" s="97">
        <f>(8.05+0.0035*(AvStackTemp-70))+(2.58+0.00114*AvStackTemp)</f>
        <v>11.67492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7" ht="12.75">
      <c r="A18" s="94" t="s">
        <v>54</v>
      </c>
      <c r="B18" s="94"/>
      <c r="C18" s="97">
        <f>gmKgCO*9.75/86</f>
        <v>3.8798179570037856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7" ht="12.75">
      <c r="A19" s="94" t="s">
        <v>55</v>
      </c>
      <c r="B19" s="94"/>
      <c r="C19" s="97">
        <f>gmKgCondar*33/86</f>
        <v>0.4312351735524094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7" ht="15">
      <c r="A20" s="94" t="s">
        <v>56</v>
      </c>
      <c r="B20" s="94"/>
      <c r="C20" s="97">
        <f>((1.5*DilutionFactor*(AvStackTemp-70))/8600)*100</f>
        <v>11.755543537047053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 ht="12.75">
      <c r="A21" s="100" t="s">
        <v>69</v>
      </c>
      <c r="B21" s="101"/>
      <c r="C21" s="101">
        <f>Catch</f>
        <v>0.07719999999999994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42</v>
      </c>
    </row>
    <row r="22" spans="1:18" ht="12.75">
      <c r="A22" s="55" t="s">
        <v>57</v>
      </c>
      <c r="B22" s="56"/>
      <c r="C22" s="57">
        <f>(Catch/RunLength)*3.04*(DilutionFactor)/(0.4*StackTempFactor)</f>
        <v>1.1238249977426427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4.4</v>
      </c>
      <c r="O22" s="34">
        <v>14</v>
      </c>
      <c r="P22" s="34"/>
      <c r="Q22" s="34">
        <v>15</v>
      </c>
      <c r="R22" s="32"/>
    </row>
    <row r="23" spans="1:18" ht="12.75">
      <c r="A23" s="58" t="s">
        <v>58</v>
      </c>
      <c r="B23" s="59"/>
      <c r="C23" s="60">
        <f>59.3*AvCO*DilutionFactor</f>
        <v>34.22198403100775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6.05</v>
      </c>
      <c r="O23" s="34">
        <v>14</v>
      </c>
      <c r="P23" s="34"/>
      <c r="Q23" s="34">
        <v>18</v>
      </c>
      <c r="R23" s="32"/>
    </row>
    <row r="24" spans="1:18" ht="12.75">
      <c r="A24" s="58" t="s">
        <v>59</v>
      </c>
      <c r="B24" s="61"/>
      <c r="C24" s="60">
        <f>100-COLoss-HCLoss</f>
        <v>95.68894686944381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5.72</v>
      </c>
      <c r="O24" s="34">
        <v>14</v>
      </c>
      <c r="P24" s="34"/>
      <c r="Q24" s="34">
        <v>16</v>
      </c>
      <c r="R24" s="32"/>
    </row>
    <row r="25" spans="1:18" ht="12.75">
      <c r="A25" s="58" t="s">
        <v>60</v>
      </c>
      <c r="B25" s="59"/>
      <c r="C25" s="60">
        <f>100-DryGasLoss-BoilWaterLoss</f>
        <v>76.56953646295294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5.28</v>
      </c>
      <c r="O25" s="34">
        <v>14</v>
      </c>
      <c r="P25" s="34"/>
      <c r="Q25" s="34">
        <v>18</v>
      </c>
      <c r="R25" s="32"/>
    </row>
    <row r="26" spans="1:18" ht="12.75">
      <c r="A26" s="62" t="s">
        <v>61</v>
      </c>
      <c r="B26" s="63"/>
      <c r="C26" s="64">
        <f>HTransEffic*CombustEffic/100</f>
        <v>73.26858306421444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3.52</v>
      </c>
      <c r="O26" s="34">
        <v>14</v>
      </c>
      <c r="P26" s="34"/>
      <c r="Q26" s="34">
        <v>15</v>
      </c>
      <c r="R26" s="32"/>
    </row>
    <row r="27" spans="1:18" ht="12.75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5.28</v>
      </c>
      <c r="O27" s="34">
        <v>14</v>
      </c>
      <c r="P27" s="34"/>
      <c r="Q27" s="34">
        <v>16</v>
      </c>
      <c r="R27" s="32"/>
    </row>
    <row r="28" spans="1:18" ht="12.75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5.3</v>
      </c>
      <c r="O28" s="34">
        <v>14</v>
      </c>
      <c r="P28" s="34"/>
      <c r="Q28" s="34">
        <v>15</v>
      </c>
      <c r="R28" s="32"/>
    </row>
    <row r="29" spans="1:18" ht="12.75">
      <c r="A29" s="14">
        <v>1</v>
      </c>
      <c r="B29" s="45">
        <v>0.992</v>
      </c>
      <c r="C29" s="45">
        <v>1.0653</v>
      </c>
      <c r="D29" s="5">
        <f aca="true" t="shared" si="0" ref="D29:D34">IF(FiltDirty-FiltClean&gt;0,FiltDirty-FiltClean,0)</f>
        <v>0.07329999999999992</v>
      </c>
      <c r="E29" s="84"/>
      <c r="F29" s="87"/>
      <c r="G29" s="87"/>
      <c r="H29" s="87"/>
      <c r="I29" s="86"/>
      <c r="J29" s="75"/>
      <c r="L29" s="29"/>
      <c r="M29" s="1">
        <v>8</v>
      </c>
      <c r="N29" s="34">
        <v>9.46</v>
      </c>
      <c r="O29" s="34">
        <v>14</v>
      </c>
      <c r="P29" s="34"/>
      <c r="Q29" s="34">
        <v>16</v>
      </c>
      <c r="R29" s="32"/>
    </row>
    <row r="30" spans="1:18" ht="12.75">
      <c r="A30" s="14">
        <v>2</v>
      </c>
      <c r="B30" s="45">
        <v>0.9806</v>
      </c>
      <c r="C30" s="45">
        <v>0.9845</v>
      </c>
      <c r="D30" s="5">
        <f t="shared" si="0"/>
        <v>0.0039000000000000146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 ht="12.75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 ht="12.75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 ht="12.75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 ht="12.75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 ht="12.75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 ht="12.75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0.07719999999999994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 ht="12.75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 ht="12.75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7" ht="12.75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43</v>
      </c>
      <c r="P41" s="1">
        <v>1</v>
      </c>
      <c r="Q41" s="1" t="s">
        <v>44</v>
      </c>
    </row>
    <row r="42" spans="1:17" ht="12.75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45</v>
      </c>
    </row>
    <row r="43" spans="1:17" ht="12.75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46</v>
      </c>
    </row>
    <row r="44" spans="1:17" ht="12.75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47</v>
      </c>
    </row>
    <row r="45" spans="1:17" ht="12.75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62</v>
      </c>
    </row>
    <row r="46" spans="1:10" ht="12.75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0" ht="12.75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2009-11-02T14:21:33Z</dcterms:modified>
  <cp:category/>
  <cp:version/>
  <cp:contentType/>
  <cp:contentStatus/>
</cp:coreProperties>
</file>